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0" windowWidth="16380" windowHeight="7350" tabRatio="925" activeTab="0"/>
  </bookViews>
  <sheets>
    <sheet name="autovelox" sheetId="1" r:id="rId1"/>
  </sheets>
  <definedNames/>
  <calcPr fullCalcOnLoad="1"/>
</workbook>
</file>

<file path=xl/sharedStrings.xml><?xml version="1.0" encoding="utf-8"?>
<sst xmlns="http://schemas.openxmlformats.org/spreadsheetml/2006/main" count="116" uniqueCount="34">
  <si>
    <t>TOTALE</t>
  </si>
  <si>
    <t xml:space="preserve"> 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</si>
  <si>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</si>
  <si>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</si>
  <si>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</si>
  <si>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</si>
  <si>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</si>
  <si>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</si>
  <si>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</si>
  <si>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</si>
  <si>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</si>
  <si>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</si>
  <si>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</si>
  <si>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</si>
  <si>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 xml:space="preserve">TOTALE  VIOLAZIONI AUTOVELOX          </t>
  </si>
  <si>
    <t xml:space="preserve">TOTALE  VIOLAZIONI AUTOVELOX  MOBILE         </t>
  </si>
  <si>
    <t>MEZZI CONTROLLATI con autovelox mobile</t>
  </si>
  <si>
    <t xml:space="preserve"> PUNTI DECURTATI a seguito infrazioni registrate con autovelox mobile</t>
  </si>
  <si>
    <t>Autovelox mobile</t>
  </si>
  <si>
    <t>AUTO RILEVATE</t>
  </si>
  <si>
    <t>AUTOCARRI RILEVATI</t>
  </si>
  <si>
    <t>Autovelox Mobile</t>
  </si>
  <si>
    <t>Verbalizzazioni comma 7°</t>
  </si>
  <si>
    <t>Verbalizzazioni comma 8°</t>
  </si>
  <si>
    <t>Verbalizzazioni comma 9°</t>
  </si>
  <si>
    <t>Autovetture verbalizzate</t>
  </si>
  <si>
    <t>Motocicli verbalizzati</t>
  </si>
  <si>
    <t>Autocarri verbalizzati</t>
  </si>
  <si>
    <t>TOTALE MEZZI CONTROLLATI con autovelox</t>
  </si>
  <si>
    <t xml:space="preserve">  </t>
  </si>
  <si>
    <t>N. veicoli con tipologia non rilevata</t>
  </si>
  <si>
    <t xml:space="preserve">TOTALE  VIOLAZIONI AUTOVELOX  FISSO*      </t>
  </si>
  <si>
    <t>* in funzione da dicembre 2019</t>
  </si>
  <si>
    <t>Verbali autovelox fisso*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</si>
</sst>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</numFmts>
  <fonts count="58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61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9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3" fillId="23" borderId="0" applyNumberFormat="0" applyBorder="0" applyAlignment="0" applyProtection="0"/>
    <xf numFmtId="0" fontId="42" fillId="24" borderId="1" applyNumberFormat="0" applyAlignment="0" applyProtection="0"/>
    <xf numFmtId="0" fontId="43" fillId="0" borderId="2" applyNumberFormat="0" applyFill="0" applyAlignment="0" applyProtection="0"/>
    <xf numFmtId="0" fontId="44" fillId="25" borderId="3" applyNumberFormat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" fillId="32" borderId="0" applyNumberFormat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6" fillId="3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4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35" borderId="0" applyNumberFormat="0" applyBorder="0" applyAlignment="0" applyProtection="0"/>
    <xf numFmtId="0" fontId="46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7" borderId="4" applyNumberFormat="0" applyFont="0" applyAlignment="0" applyProtection="0"/>
    <xf numFmtId="0" fontId="11" fillId="35" borderId="5" applyNumberFormat="0" applyAlignment="0" applyProtection="0"/>
    <xf numFmtId="0" fontId="47" fillId="24" borderId="6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38" borderId="0" applyNumberFormat="0" applyBorder="0" applyAlignment="0" applyProtection="0"/>
    <xf numFmtId="0" fontId="56" fillId="39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9" fillId="40" borderId="0" xfId="0" applyFont="1" applyFill="1" applyBorder="1" applyAlignment="1">
      <alignment horizontal="center" vertical="center"/>
    </xf>
    <xf numFmtId="0" fontId="20" fillId="40" borderId="0" xfId="0" applyFont="1" applyFill="1" applyBorder="1" applyAlignment="1">
      <alignment horizontal="center" vertical="center"/>
    </xf>
    <xf numFmtId="0" fontId="17" fillId="40" borderId="0" xfId="0" applyFont="1" applyFill="1" applyBorder="1" applyAlignment="1">
      <alignment horizontal="center"/>
    </xf>
    <xf numFmtId="0" fontId="57" fillId="0" borderId="0" xfId="0" applyFont="1" applyAlignment="1">
      <alignment/>
    </xf>
    <xf numFmtId="0" fontId="13" fillId="41" borderId="0" xfId="0" applyFont="1" applyFill="1" applyAlignment="1">
      <alignment/>
    </xf>
    <xf numFmtId="0" fontId="16" fillId="42" borderId="11" xfId="0" applyFont="1" applyFill="1" applyBorder="1" applyAlignment="1">
      <alignment horizontal="center"/>
    </xf>
    <xf numFmtId="0" fontId="18" fillId="42" borderId="0" xfId="0" applyFont="1" applyFill="1" applyBorder="1" applyAlignment="1">
      <alignment horizontal="center"/>
    </xf>
    <xf numFmtId="0" fontId="16" fillId="42" borderId="0" xfId="0" applyFont="1" applyFill="1" applyBorder="1" applyAlignment="1">
      <alignment horizontal="center"/>
    </xf>
    <xf numFmtId="0" fontId="13" fillId="43" borderId="0" xfId="0" applyFont="1" applyFill="1" applyAlignment="1">
      <alignment/>
    </xf>
    <xf numFmtId="0" fontId="16" fillId="43" borderId="11" xfId="0" applyFont="1" applyFill="1" applyBorder="1" applyAlignment="1">
      <alignment horizontal="center"/>
    </xf>
    <xf numFmtId="0" fontId="16" fillId="43" borderId="0" xfId="0" applyFont="1" applyFill="1" applyBorder="1" applyAlignment="1">
      <alignment horizontal="center"/>
    </xf>
    <xf numFmtId="0" fontId="13" fillId="42" borderId="11" xfId="0" applyFont="1" applyFill="1" applyBorder="1" applyAlignment="1">
      <alignment horizontal="center" vertical="center"/>
    </xf>
    <xf numFmtId="0" fontId="14" fillId="42" borderId="11" xfId="0" applyFont="1" applyFill="1" applyBorder="1" applyAlignment="1">
      <alignment horizontal="center" vertical="center"/>
    </xf>
    <xf numFmtId="0" fontId="13" fillId="43" borderId="0" xfId="0" applyFont="1" applyFill="1" applyAlignment="1">
      <alignment horizontal="center"/>
    </xf>
    <xf numFmtId="0" fontId="16" fillId="42" borderId="11" xfId="0" applyFont="1" applyFill="1" applyBorder="1" applyAlignment="1">
      <alignment horizontal="center" vertical="center" wrapText="1"/>
    </xf>
    <xf numFmtId="0" fontId="18" fillId="42" borderId="11" xfId="0" applyFont="1" applyFill="1" applyBorder="1" applyAlignment="1">
      <alignment horizontal="center"/>
    </xf>
    <xf numFmtId="0" fontId="18" fillId="42" borderId="12" xfId="0" applyFont="1" applyFill="1" applyBorder="1" applyAlignment="1">
      <alignment horizontal="center"/>
    </xf>
    <xf numFmtId="0" fontId="16" fillId="42" borderId="12" xfId="0" applyFont="1" applyFill="1" applyBorder="1" applyAlignment="1">
      <alignment horizontal="center"/>
    </xf>
    <xf numFmtId="0" fontId="15" fillId="42" borderId="11" xfId="0" applyFont="1" applyFill="1" applyBorder="1" applyAlignment="1">
      <alignment horizontal="center"/>
    </xf>
    <xf numFmtId="0" fontId="13" fillId="42" borderId="13" xfId="0" applyFont="1" applyFill="1" applyBorder="1" applyAlignment="1">
      <alignment horizontal="center"/>
    </xf>
    <xf numFmtId="0" fontId="14" fillId="42" borderId="13" xfId="0" applyFont="1" applyFill="1" applyBorder="1" applyAlignment="1">
      <alignment horizontal="center"/>
    </xf>
    <xf numFmtId="0" fontId="12" fillId="42" borderId="14" xfId="0" applyFont="1" applyFill="1" applyBorder="1" applyAlignment="1">
      <alignment horizontal="center" vertical="center" wrapText="1"/>
    </xf>
    <xf numFmtId="0" fontId="13" fillId="42" borderId="15" xfId="0" applyFont="1" applyFill="1" applyBorder="1" applyAlignment="1">
      <alignment horizontal="center" vertical="center"/>
    </xf>
    <xf numFmtId="0" fontId="14" fillId="42" borderId="15" xfId="0" applyFont="1" applyFill="1" applyBorder="1" applyAlignment="1">
      <alignment horizontal="center" vertical="center"/>
    </xf>
    <xf numFmtId="0" fontId="12" fillId="42" borderId="11" xfId="0" applyFont="1" applyFill="1" applyBorder="1" applyAlignment="1">
      <alignment horizontal="center" vertical="center" wrapText="1"/>
    </xf>
    <xf numFmtId="0" fontId="12" fillId="41" borderId="0" xfId="0" applyFont="1" applyFill="1" applyBorder="1" applyAlignment="1">
      <alignment horizontal="center" vertical="center" wrapText="1"/>
    </xf>
    <xf numFmtId="0" fontId="13" fillId="41" borderId="0" xfId="0" applyFont="1" applyFill="1" applyBorder="1" applyAlignment="1">
      <alignment horizontal="center" vertical="center"/>
    </xf>
    <xf numFmtId="0" fontId="14" fillId="41" borderId="0" xfId="0" applyFont="1" applyFill="1" applyBorder="1" applyAlignment="1">
      <alignment horizontal="center" vertical="center"/>
    </xf>
    <xf numFmtId="0" fontId="12" fillId="42" borderId="11" xfId="0" applyFont="1" applyFill="1" applyBorder="1" applyAlignment="1">
      <alignment horizontal="center"/>
    </xf>
    <xf numFmtId="0" fontId="13" fillId="42" borderId="16" xfId="0" applyFont="1" applyFill="1" applyBorder="1" applyAlignment="1">
      <alignment horizontal="center"/>
    </xf>
    <xf numFmtId="0" fontId="13" fillId="42" borderId="11" xfId="0" applyFont="1" applyFill="1" applyBorder="1" applyAlignment="1">
      <alignment horizontal="center"/>
    </xf>
    <xf numFmtId="0" fontId="14" fillId="42" borderId="11" xfId="0" applyFont="1" applyFill="1" applyBorder="1" applyAlignment="1">
      <alignment horizontal="center"/>
    </xf>
    <xf numFmtId="0" fontId="12" fillId="42" borderId="11" xfId="0" applyFont="1" applyFill="1" applyBorder="1" applyAlignment="1">
      <alignment/>
    </xf>
    <xf numFmtId="0" fontId="21" fillId="42" borderId="11" xfId="0" applyFont="1" applyFill="1" applyBorder="1" applyAlignment="1">
      <alignment horizontal="center"/>
    </xf>
    <xf numFmtId="0" fontId="13" fillId="43" borderId="17" xfId="0" applyFont="1" applyFill="1" applyBorder="1" applyAlignment="1">
      <alignment/>
    </xf>
    <xf numFmtId="0" fontId="16" fillId="44" borderId="15" xfId="0" applyFont="1" applyFill="1" applyBorder="1" applyAlignment="1">
      <alignment horizontal="center" vertical="center" wrapText="1"/>
    </xf>
    <xf numFmtId="0" fontId="13" fillId="44" borderId="11" xfId="0" applyFont="1" applyFill="1" applyBorder="1" applyAlignment="1">
      <alignment horizontal="center" vertical="center"/>
    </xf>
    <xf numFmtId="0" fontId="14" fillId="44" borderId="11" xfId="0" applyFont="1" applyFill="1" applyBorder="1" applyAlignment="1">
      <alignment horizontal="center" vertical="center"/>
    </xf>
    <xf numFmtId="0" fontId="13" fillId="44" borderId="11" xfId="0" applyFont="1" applyFill="1" applyBorder="1" applyAlignment="1">
      <alignment/>
    </xf>
    <xf numFmtId="0" fontId="18" fillId="44" borderId="16" xfId="0" applyFont="1" applyFill="1" applyBorder="1" applyAlignment="1">
      <alignment horizontal="center"/>
    </xf>
    <xf numFmtId="0" fontId="18" fillId="44" borderId="11" xfId="0" applyFont="1" applyFill="1" applyBorder="1" applyAlignment="1">
      <alignment horizontal="center"/>
    </xf>
    <xf numFmtId="0" fontId="16" fillId="44" borderId="11" xfId="0" applyFont="1" applyFill="1" applyBorder="1" applyAlignment="1">
      <alignment horizontal="center"/>
    </xf>
    <xf numFmtId="0" fontId="12" fillId="44" borderId="11" xfId="0" applyFont="1" applyFill="1" applyBorder="1" applyAlignment="1">
      <alignment horizontal="center"/>
    </xf>
    <xf numFmtId="0" fontId="13" fillId="41" borderId="0" xfId="0" applyFont="1" applyFill="1" applyBorder="1" applyAlignment="1">
      <alignment horizontal="center"/>
    </xf>
    <xf numFmtId="0" fontId="14" fillId="41" borderId="0" xfId="0" applyFont="1" applyFill="1" applyBorder="1" applyAlignment="1">
      <alignment horizontal="center"/>
    </xf>
    <xf numFmtId="0" fontId="12" fillId="44" borderId="18" xfId="0" applyFont="1" applyFill="1" applyBorder="1" applyAlignment="1">
      <alignment horizontal="center"/>
    </xf>
    <xf numFmtId="0" fontId="13" fillId="44" borderId="11" xfId="0" applyFont="1" applyFill="1" applyBorder="1" applyAlignment="1">
      <alignment horizontal="center"/>
    </xf>
    <xf numFmtId="0" fontId="14" fillId="44" borderId="11" xfId="0" applyFont="1" applyFill="1" applyBorder="1" applyAlignment="1">
      <alignment horizontal="center"/>
    </xf>
    <xf numFmtId="0" fontId="16" fillId="45" borderId="11" xfId="0" applyFont="1" applyFill="1" applyBorder="1" applyAlignment="1">
      <alignment horizontal="center" vertical="center" wrapText="1"/>
    </xf>
    <xf numFmtId="0" fontId="13" fillId="45" borderId="11" xfId="0" applyFont="1" applyFill="1" applyBorder="1" applyAlignment="1">
      <alignment horizontal="center" vertical="center"/>
    </xf>
    <xf numFmtId="0" fontId="14" fillId="45" borderId="11" xfId="0" applyFont="1" applyFill="1" applyBorder="1" applyAlignment="1">
      <alignment horizontal="center" vertical="center"/>
    </xf>
    <xf numFmtId="0" fontId="16" fillId="45" borderId="11" xfId="0" applyFont="1" applyFill="1" applyBorder="1" applyAlignment="1">
      <alignment horizontal="center"/>
    </xf>
    <xf numFmtId="0" fontId="12" fillId="42" borderId="15" xfId="0" applyFont="1" applyFill="1" applyBorder="1" applyAlignment="1">
      <alignment horizontal="center"/>
    </xf>
    <xf numFmtId="0" fontId="13" fillId="42" borderId="19" xfId="0" applyFont="1" applyFill="1" applyBorder="1" applyAlignment="1">
      <alignment horizontal="center"/>
    </xf>
    <xf numFmtId="0" fontId="13" fillId="42" borderId="15" xfId="0" applyFont="1" applyFill="1" applyBorder="1" applyAlignment="1">
      <alignment horizontal="center"/>
    </xf>
    <xf numFmtId="0" fontId="14" fillId="42" borderId="15" xfId="0" applyFont="1" applyFill="1" applyBorder="1" applyAlignment="1">
      <alignment horizontal="center"/>
    </xf>
    <xf numFmtId="0" fontId="12" fillId="42" borderId="17" xfId="0" applyFont="1" applyFill="1" applyBorder="1" applyAlignment="1">
      <alignment horizontal="center"/>
    </xf>
    <xf numFmtId="0" fontId="13" fillId="42" borderId="17" xfId="0" applyFont="1" applyFill="1" applyBorder="1" applyAlignment="1">
      <alignment horizontal="center"/>
    </xf>
    <xf numFmtId="0" fontId="14" fillId="42" borderId="17" xfId="0" applyFont="1" applyFill="1" applyBorder="1" applyAlignment="1">
      <alignment horizontal="center"/>
    </xf>
    <xf numFmtId="0" fontId="12" fillId="42" borderId="15" xfId="0" applyFont="1" applyFill="1" applyBorder="1" applyAlignment="1">
      <alignment/>
    </xf>
    <xf numFmtId="0" fontId="21" fillId="42" borderId="15" xfId="0" applyFont="1" applyFill="1" applyBorder="1" applyAlignment="1">
      <alignment horizontal="center"/>
    </xf>
    <xf numFmtId="0" fontId="0" fillId="43" borderId="17" xfId="0" applyFont="1" applyFill="1" applyBorder="1" applyAlignment="1">
      <alignment/>
    </xf>
    <xf numFmtId="0" fontId="18" fillId="0" borderId="11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</cellXfs>
  <cellStyles count="6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" xfId="33"/>
    <cellStyle name="Accent 1" xfId="34"/>
    <cellStyle name="Accent 2" xfId="35"/>
    <cellStyle name="Accent 3" xfId="36"/>
    <cellStyle name="Bad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Error" xfId="47"/>
    <cellStyle name="Euro" xfId="48"/>
    <cellStyle name="Euro 2" xfId="49"/>
    <cellStyle name="Euro 3" xfId="50"/>
    <cellStyle name="Footnote" xfId="51"/>
    <cellStyle name="Good" xfId="52"/>
    <cellStyle name="Heading" xfId="53"/>
    <cellStyle name="Heading 1" xfId="54"/>
    <cellStyle name="Heading 2" xfId="55"/>
    <cellStyle name="Input" xfId="56"/>
    <cellStyle name="Comma" xfId="57"/>
    <cellStyle name="Comma [0]" xfId="58"/>
    <cellStyle name="Neutral" xfId="59"/>
    <cellStyle name="Neutrale" xfId="60"/>
    <cellStyle name="Normale 2" xfId="61"/>
    <cellStyle name="Normale 3" xfId="62"/>
    <cellStyle name="Nota" xfId="63"/>
    <cellStyle name="Note" xfId="64"/>
    <cellStyle name="Output" xfId="65"/>
    <cellStyle name="Percent" xfId="66"/>
    <cellStyle name="Status" xfId="67"/>
    <cellStyle name="Testo avviso" xfId="68"/>
    <cellStyle name="Testo descrittivo" xfId="69"/>
    <cellStyle name="Text" xfId="70"/>
    <cellStyle name="Titolo" xfId="71"/>
    <cellStyle name="Titolo 1" xfId="72"/>
    <cellStyle name="Titolo 2" xfId="73"/>
    <cellStyle name="Titolo 3" xfId="74"/>
    <cellStyle name="Titolo 4" xfId="75"/>
    <cellStyle name="Totale" xfId="76"/>
    <cellStyle name="Valore non valido" xfId="77"/>
    <cellStyle name="Valore valido" xfId="78"/>
    <cellStyle name="Currency" xfId="79"/>
    <cellStyle name="Currency [0]" xfId="80"/>
    <cellStyle name="Warning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558ED5"/>
      <rgbColor rgb="00C0504D"/>
      <rgbColor rgb="00FFFFCC"/>
      <rgbColor rgb="00CCFFFF"/>
      <rgbColor rgb="00660066"/>
      <rgbColor rgb="00948A54"/>
      <rgbColor rgb="00D9D9D9"/>
      <rgbColor rgb="00C6D9F1"/>
      <rgbColor rgb="00000080"/>
      <rgbColor rgb="00FF00FF"/>
      <rgbColor rgb="00FFC000"/>
      <rgbColor rgb="00BFBFBF"/>
      <rgbColor rgb="00800080"/>
      <rgbColor rgb="00800000"/>
      <rgbColor rgb="0077933C"/>
      <rgbColor rgb="000000FF"/>
      <rgbColor rgb="0000CCFF"/>
      <rgbColor rgb="00DDDDDD"/>
      <rgbColor rgb="00CCFFCC"/>
      <rgbColor rgb="00FFFF99"/>
      <rgbColor rgb="0099CCFF"/>
      <rgbColor rgb="00FAC09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4F81BD"/>
      <rgbColor rgb="00003300"/>
      <rgbColor rgb="00333300"/>
      <rgbColor rgb="00FFCCCC"/>
      <rgbColor rgb="007F7F7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AC51"/>
  <sheetViews>
    <sheetView tabSelected="1" zoomScale="80" zoomScaleNormal="80" zoomScalePageLayoutView="0" workbookViewId="0" topLeftCell="A3">
      <selection activeCell="P14" sqref="P14"/>
    </sheetView>
  </sheetViews>
  <sheetFormatPr defaultColWidth="9.140625" defaultRowHeight="12.75"/>
  <cols>
    <col min="1" max="1" width="32.140625" style="1" customWidth="1"/>
    <col min="2" max="2" width="11.00390625" style="1" customWidth="1"/>
    <col min="3" max="3" width="10.421875" style="1" customWidth="1"/>
    <col min="4" max="4" width="11.00390625" style="1" customWidth="1"/>
    <col min="5" max="5" width="11.7109375" style="1" customWidth="1"/>
    <col min="6" max="6" width="9.57421875" style="1" customWidth="1"/>
    <col min="7" max="8" width="10.28125" style="1" customWidth="1"/>
    <col min="9" max="9" width="8.57421875" style="1" customWidth="1"/>
    <col min="10" max="10" width="10.8515625" style="1" customWidth="1"/>
    <col min="11" max="11" width="9.28125" style="1" customWidth="1"/>
    <col min="12" max="12" width="9.7109375" style="1" customWidth="1"/>
    <col min="13" max="13" width="10.57421875" style="1" customWidth="1"/>
    <col min="14" max="14" width="12.57421875" style="1" customWidth="1"/>
    <col min="15" max="15" width="10.28125" style="1" customWidth="1"/>
    <col min="16" max="16384" width="9.140625" style="1" customWidth="1"/>
  </cols>
  <sheetData>
    <row r="1" ht="12.75">
      <c r="B1" s="2"/>
    </row>
    <row r="2" spans="1:14" ht="37.5">
      <c r="A2" s="51" t="s">
        <v>14</v>
      </c>
      <c r="B2" s="52" t="s">
        <v>2</v>
      </c>
      <c r="C2" s="52" t="s">
        <v>3</v>
      </c>
      <c r="D2" s="52" t="s">
        <v>4</v>
      </c>
      <c r="E2" s="52" t="s">
        <v>5</v>
      </c>
      <c r="F2" s="52" t="s">
        <v>6</v>
      </c>
      <c r="G2" s="52" t="s">
        <v>7</v>
      </c>
      <c r="H2" s="52" t="s">
        <v>8</v>
      </c>
      <c r="I2" s="52" t="s">
        <v>9</v>
      </c>
      <c r="J2" s="52" t="s">
        <v>10</v>
      </c>
      <c r="K2" s="52" t="s">
        <v>11</v>
      </c>
      <c r="L2" s="52" t="s">
        <v>12</v>
      </c>
      <c r="M2" s="52" t="s">
        <v>13</v>
      </c>
      <c r="N2" s="53" t="s">
        <v>0</v>
      </c>
    </row>
    <row r="3" spans="1:14" ht="18.75">
      <c r="A3" s="11"/>
      <c r="B3" s="12">
        <f aca="true" t="shared" si="0" ref="B3:M3">SUM(B10+B41)</f>
        <v>3646</v>
      </c>
      <c r="C3" s="12">
        <f t="shared" si="0"/>
        <v>4059</v>
      </c>
      <c r="D3" s="12">
        <f t="shared" si="0"/>
        <v>4885</v>
      </c>
      <c r="E3" s="12">
        <f t="shared" si="0"/>
        <v>5877</v>
      </c>
      <c r="F3" s="12">
        <f t="shared" si="0"/>
        <v>13807</v>
      </c>
      <c r="G3" s="12">
        <f t="shared" si="0"/>
        <v>5126</v>
      </c>
      <c r="H3" s="12">
        <f t="shared" si="0"/>
        <v>9166</v>
      </c>
      <c r="I3" s="12">
        <f t="shared" si="0"/>
        <v>10439</v>
      </c>
      <c r="J3" s="12">
        <f t="shared" si="0"/>
        <v>4337</v>
      </c>
      <c r="K3" s="12">
        <f t="shared" si="0"/>
        <v>4457</v>
      </c>
      <c r="L3" s="12">
        <f t="shared" si="0"/>
        <v>3394</v>
      </c>
      <c r="M3" s="12">
        <f t="shared" si="0"/>
        <v>5738</v>
      </c>
      <c r="N3" s="54">
        <f>SUM(B3:M3)</f>
        <v>74931</v>
      </c>
    </row>
    <row r="4" spans="1:14" ht="18.75">
      <c r="A4" s="11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56.25">
      <c r="A5" s="17" t="s">
        <v>28</v>
      </c>
      <c r="B5" s="14" t="s">
        <v>2</v>
      </c>
      <c r="C5" s="14" t="s">
        <v>3</v>
      </c>
      <c r="D5" s="14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11</v>
      </c>
      <c r="L5" s="14" t="s">
        <v>12</v>
      </c>
      <c r="M5" s="14" t="s">
        <v>13</v>
      </c>
      <c r="N5" s="15" t="s">
        <v>0</v>
      </c>
    </row>
    <row r="6" spans="1:14" ht="18.75">
      <c r="A6" s="7"/>
      <c r="B6" s="8">
        <f aca="true" t="shared" si="1" ref="B6:M6">SUM(B16+B41)</f>
        <v>115936</v>
      </c>
      <c r="C6" s="8">
        <f t="shared" si="1"/>
        <v>147926</v>
      </c>
      <c r="D6" s="8">
        <f t="shared" si="1"/>
        <v>130039</v>
      </c>
      <c r="E6" s="8">
        <f t="shared" si="1"/>
        <v>113571</v>
      </c>
      <c r="F6" s="8">
        <f t="shared" si="1"/>
        <v>158807</v>
      </c>
      <c r="G6" s="8">
        <f t="shared" si="1"/>
        <v>112875</v>
      </c>
      <c r="H6" s="8">
        <f t="shared" si="1"/>
        <v>140291</v>
      </c>
      <c r="I6" s="8">
        <f t="shared" si="1"/>
        <v>57165</v>
      </c>
      <c r="J6" s="8">
        <f t="shared" si="1"/>
        <v>118403</v>
      </c>
      <c r="K6" s="8">
        <f t="shared" si="1"/>
        <v>147895</v>
      </c>
      <c r="L6" s="8">
        <f t="shared" si="1"/>
        <v>121099</v>
      </c>
      <c r="M6" s="8">
        <f t="shared" si="1"/>
        <v>112328</v>
      </c>
      <c r="N6" s="8">
        <f>SUM(B6:M6)</f>
        <v>1476335</v>
      </c>
    </row>
    <row r="7" spans="1:14" ht="18.75">
      <c r="A7" s="11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12.75">
      <c r="A8" s="11"/>
      <c r="B8" s="16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37.5">
      <c r="A9" s="17" t="s">
        <v>15</v>
      </c>
      <c r="B9" s="14" t="s">
        <v>2</v>
      </c>
      <c r="C9" s="14" t="s">
        <v>3</v>
      </c>
      <c r="D9" s="14" t="s">
        <v>4</v>
      </c>
      <c r="E9" s="14" t="s">
        <v>5</v>
      </c>
      <c r="F9" s="14" t="s">
        <v>6</v>
      </c>
      <c r="G9" s="14" t="s">
        <v>7</v>
      </c>
      <c r="H9" s="14" t="s">
        <v>8</v>
      </c>
      <c r="I9" s="14" t="s">
        <v>9</v>
      </c>
      <c r="J9" s="14" t="s">
        <v>10</v>
      </c>
      <c r="K9" s="14" t="s">
        <v>11</v>
      </c>
      <c r="L9" s="14" t="s">
        <v>12</v>
      </c>
      <c r="M9" s="14" t="s">
        <v>13</v>
      </c>
      <c r="N9" s="15" t="s">
        <v>0</v>
      </c>
    </row>
    <row r="10" spans="1:14" ht="18.75">
      <c r="A10" s="7"/>
      <c r="B10" s="65">
        <f>837+124+262+179+136+145+44+231+702+595</f>
        <v>3255</v>
      </c>
      <c r="C10" s="65">
        <f>677+275+209+255+242+337+256+269+457+488</f>
        <v>3465</v>
      </c>
      <c r="D10" s="65">
        <f>795+264+172+289+248+505+0+256+172+519</f>
        <v>3220</v>
      </c>
      <c r="E10" s="65">
        <f>924+315+226+276+271+322+0+227+0+735</f>
        <v>3296</v>
      </c>
      <c r="F10" s="65">
        <f>961+318+262+149+188+300+386+269+438+712</f>
        <v>3983</v>
      </c>
      <c r="G10" s="65">
        <f>539+292+239+160+0+389+228+229+519+423</f>
        <v>3018</v>
      </c>
      <c r="H10" s="65">
        <f>699+383+245+121+0+157+346+419+951+466</f>
        <v>3787</v>
      </c>
      <c r="I10" s="65">
        <f>284+153+225+9+0+16+68+174+278+444</f>
        <v>1651</v>
      </c>
      <c r="J10" s="65">
        <f>442+252+256+173+171+295+0+501+709+244</f>
        <v>3043</v>
      </c>
      <c r="K10" s="65">
        <f>958+266+243+89+237+85+0+335+825+674</f>
        <v>3712</v>
      </c>
      <c r="L10" s="65">
        <f>575+126+88+166+253+13+0+424+638+575</f>
        <v>2858</v>
      </c>
      <c r="M10" s="65">
        <f>372+215+50+148+303+453+0+1550+511+195</f>
        <v>3797</v>
      </c>
      <c r="N10" s="66">
        <f>SUM(B10:M10)</f>
        <v>39085</v>
      </c>
    </row>
    <row r="11" spans="1:14" ht="12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2.7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2.75">
      <c r="A13" s="11"/>
      <c r="B13" s="16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11"/>
      <c r="B14" s="16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37.5">
      <c r="A15" s="17" t="s">
        <v>16</v>
      </c>
      <c r="B15" s="14" t="s">
        <v>2</v>
      </c>
      <c r="C15" s="14" t="s">
        <v>3</v>
      </c>
      <c r="D15" s="14" t="s">
        <v>4</v>
      </c>
      <c r="E15" s="14" t="s">
        <v>5</v>
      </c>
      <c r="F15" s="14" t="s">
        <v>6</v>
      </c>
      <c r="G15" s="14" t="s">
        <v>7</v>
      </c>
      <c r="H15" s="14" t="s">
        <v>8</v>
      </c>
      <c r="I15" s="14" t="s">
        <v>9</v>
      </c>
      <c r="J15" s="14" t="s">
        <v>10</v>
      </c>
      <c r="K15" s="14" t="s">
        <v>11</v>
      </c>
      <c r="L15" s="14" t="s">
        <v>12</v>
      </c>
      <c r="M15" s="14" t="s">
        <v>13</v>
      </c>
      <c r="N15" s="15" t="s">
        <v>0</v>
      </c>
    </row>
    <row r="16" spans="1:14" ht="18.75">
      <c r="A16" s="7"/>
      <c r="B16" s="18">
        <f>18611+3510+10210+8704+4987+4345+11485+11633+27940+14120</f>
        <v>115545</v>
      </c>
      <c r="C16" s="18">
        <f>30178+7462+9208+14667+11389+9309+9566+13718+17916+23919</f>
        <v>147332</v>
      </c>
      <c r="D16" s="18">
        <f>30433+8234+9503+15825+12217+13321+0+11537+6981+20323</f>
        <v>128374</v>
      </c>
      <c r="E16" s="18">
        <f>25609+8270+9420+13600+10866+9753+0+14732+0+18740</f>
        <v>110990</v>
      </c>
      <c r="F16" s="18">
        <f>31632+11721+11453+5066+4474+13406+17476+17382+11336+25037</f>
        <v>148983</v>
      </c>
      <c r="G16" s="18">
        <f>17584+7912+9715+9653+0+16802+9659+8169+17231+14042</f>
        <v>110767</v>
      </c>
      <c r="H16" s="18">
        <f>22201+10519+11695+3607+0+6790+18384+15666+29737+16313</f>
        <v>134912</v>
      </c>
      <c r="I16" s="18">
        <f>8965+4845+6665+872+0+663+1774+5601+10712+8280</f>
        <v>48377</v>
      </c>
      <c r="J16" s="18">
        <f>16735+8688+8915+8841+7305+9227+0+17862+28240+11296</f>
        <v>117109</v>
      </c>
      <c r="K16" s="18">
        <f>32751+10829+8739+4082+10145+3864+0+19172+31117+26451</f>
        <v>147150</v>
      </c>
      <c r="L16" s="18">
        <f>32236+5214+4646+7202+9338+894+0+13503+26246+21284</f>
        <v>120563</v>
      </c>
      <c r="M16" s="18">
        <f>13269+8613+5210+7601+8812+18627+0+16250+24192+7813</f>
        <v>110387</v>
      </c>
      <c r="N16" s="8">
        <f>SUM(B16:M16)</f>
        <v>1440489</v>
      </c>
    </row>
    <row r="17" spans="1:14" ht="12.75">
      <c r="A17" s="11"/>
      <c r="B17" s="16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 t="s">
        <v>29</v>
      </c>
      <c r="N17" s="11"/>
    </row>
    <row r="18" spans="1:14" ht="12.75">
      <c r="A18" s="11"/>
      <c r="B18" s="16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12.75">
      <c r="A19" s="11"/>
      <c r="B19" s="16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75">
      <c r="A20" s="17" t="s">
        <v>17</v>
      </c>
      <c r="B20" s="14" t="s">
        <v>2</v>
      </c>
      <c r="C20" s="14" t="s">
        <v>3</v>
      </c>
      <c r="D20" s="14" t="s">
        <v>4</v>
      </c>
      <c r="E20" s="14" t="s">
        <v>5</v>
      </c>
      <c r="F20" s="14" t="s">
        <v>6</v>
      </c>
      <c r="G20" s="14" t="s">
        <v>7</v>
      </c>
      <c r="H20" s="14" t="s">
        <v>8</v>
      </c>
      <c r="I20" s="14" t="s">
        <v>9</v>
      </c>
      <c r="J20" s="14" t="s">
        <v>10</v>
      </c>
      <c r="K20" s="14" t="s">
        <v>11</v>
      </c>
      <c r="L20" s="14" t="s">
        <v>12</v>
      </c>
      <c r="M20" s="14" t="s">
        <v>13</v>
      </c>
      <c r="N20" s="15" t="s">
        <v>0</v>
      </c>
    </row>
    <row r="21" spans="1:14" ht="18.75">
      <c r="A21" s="7"/>
      <c r="B21" s="19">
        <f>859+108+306+237+168+216+537+279+693+534</f>
        <v>3937</v>
      </c>
      <c r="C21" s="19">
        <f>678+459+252+276+336+471+369+351+315+471</f>
        <v>3978</v>
      </c>
      <c r="D21" s="19">
        <f>747+147+288+327+321+783+0+372+165+492</f>
        <v>3642</v>
      </c>
      <c r="E21" s="19">
        <f>1017+477+315+333+396+468+0+294+0+705</f>
        <v>4005</v>
      </c>
      <c r="F21" s="19">
        <f>966+447+375+201+288+450+471+218+0+621</f>
        <v>4037</v>
      </c>
      <c r="G21" s="19">
        <f>642+422+357+219+0+525+348+305+6+450</f>
        <v>3274</v>
      </c>
      <c r="H21" s="19">
        <f>711+213+315+0+0+231+489+474+873+459</f>
        <v>3765</v>
      </c>
      <c r="I21" s="19">
        <f>330+210+291+12+0+33+72+177+264+318</f>
        <v>1707</v>
      </c>
      <c r="J21" s="19">
        <f>497+384+333+6+231+423+0+609+603+246</f>
        <v>3332</v>
      </c>
      <c r="K21" s="19">
        <f>1026+345+330+0+324+114+0+339+633+540</f>
        <v>3651</v>
      </c>
      <c r="L21" s="19">
        <f>1014+162+96+3+345+24+0+429+546+534</f>
        <v>3153</v>
      </c>
      <c r="M21" s="19">
        <f>366+294+63+6+418+540+0+348+324+183</f>
        <v>2542</v>
      </c>
      <c r="N21" s="20">
        <f>SUM(B21:M21)</f>
        <v>41023</v>
      </c>
    </row>
    <row r="22" spans="1:14" ht="18.75">
      <c r="A22" s="7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0"/>
    </row>
    <row r="23" spans="1:14" ht="15.75">
      <c r="A23" s="21" t="s">
        <v>18</v>
      </c>
      <c r="B23" s="22" t="s">
        <v>2</v>
      </c>
      <c r="C23" s="22" t="s">
        <v>3</v>
      </c>
      <c r="D23" s="22" t="s">
        <v>4</v>
      </c>
      <c r="E23" s="22" t="s">
        <v>5</v>
      </c>
      <c r="F23" s="22" t="s">
        <v>6</v>
      </c>
      <c r="G23" s="22" t="s">
        <v>7</v>
      </c>
      <c r="H23" s="22" t="s">
        <v>8</v>
      </c>
      <c r="I23" s="22" t="s">
        <v>9</v>
      </c>
      <c r="J23" s="22" t="s">
        <v>10</v>
      </c>
      <c r="K23" s="22" t="s">
        <v>11</v>
      </c>
      <c r="L23" s="22" t="s">
        <v>12</v>
      </c>
      <c r="M23" s="22" t="s">
        <v>13</v>
      </c>
      <c r="N23" s="23" t="s">
        <v>0</v>
      </c>
    </row>
    <row r="24" spans="1:14" ht="15.75">
      <c r="A24" s="24" t="s">
        <v>19</v>
      </c>
      <c r="B24" s="25">
        <f>13413+4787+3407+9909+8382+4848+4187+11166+11224+26850+13413</f>
        <v>111586</v>
      </c>
      <c r="C24" s="25">
        <f>23097+6068+7227+8940+14098+10990+9009+9259+13151+17351+23097+7980</f>
        <v>150267</v>
      </c>
      <c r="D24" s="25">
        <f>17231+9601+9316+15074+11882+12948+0+11093+6782+17231</f>
        <v>111158</v>
      </c>
      <c r="E24" s="25">
        <f>18307+6606+8087+9099+13181+10479+9517+0+14130+0+18307</f>
        <v>107713</v>
      </c>
      <c r="F24" s="25">
        <f>24521+6355+11355+11079+4793+4340+12946+16744+16799+11161+24521</f>
        <v>144614</v>
      </c>
      <c r="G24" s="25">
        <f>13713+3464+7661+9406+9268+0+16168+9299+7821+16869+13713</f>
        <v>107382</v>
      </c>
      <c r="H24" s="25">
        <f>15861+5727+10176+11408+0+0+6601+17779+15050+29149+15861</f>
        <v>127612</v>
      </c>
      <c r="I24" s="25">
        <f>8026+678+4718+6512+854+0+645+4774+5409+231+8026</f>
        <v>39873</v>
      </c>
      <c r="J24" s="25">
        <f>11044+5276+8432+8610+8543+7071+8952+0+17257+27660+11044</f>
        <v>113889</v>
      </c>
      <c r="K24" s="25">
        <f>26451+6101+10467+8525+3961+9828+3343+0+18491+35546+26451</f>
        <v>149164</v>
      </c>
      <c r="L24" s="25">
        <f>20593+10588+5074+4471+6959+9056+857+0+12978+25645+20593</f>
        <v>116814</v>
      </c>
      <c r="M24" s="25">
        <f>7625+5316+8318+5032+7323+8573+18150+0+15612+23578+7625</f>
        <v>107152</v>
      </c>
      <c r="N24" s="26">
        <f>SUM(B24:M24)</f>
        <v>1387224</v>
      </c>
    </row>
    <row r="25" spans="1:14" ht="15.75">
      <c r="A25" s="27" t="s">
        <v>20</v>
      </c>
      <c r="B25" s="14">
        <f>316+95+103+301+322+139+158+319+409+1090+316</f>
        <v>3568</v>
      </c>
      <c r="C25" s="14">
        <f>822+191+235+268+569+399+300+307+567+565+822</f>
        <v>5045</v>
      </c>
      <c r="D25" s="14">
        <f>694+509+254+187+778+335+373+0+444+199+694</f>
        <v>4467</v>
      </c>
      <c r="E25" s="14">
        <f>433+263+192+321+419+387+236+0+602+0+433</f>
        <v>3286</v>
      </c>
      <c r="F25" s="14">
        <f>516+240+366+374+273+134+460+732+583+175+516</f>
        <v>4369</v>
      </c>
      <c r="G25" s="14">
        <f>329+78+151+309+385+0+634+360+348+362+329</f>
        <v>3285</v>
      </c>
      <c r="H25" s="14">
        <f>452+161+343+287+0+0+189+585+616+588+452</f>
        <v>3673</v>
      </c>
      <c r="I25" s="14">
        <f>254+7+127+153+12+0+18+124+192+580+254</f>
        <v>1721</v>
      </c>
      <c r="J25" s="14">
        <f>252+163+256+305+298+288+275+0+605+580+252</f>
        <v>3274</v>
      </c>
      <c r="K25" s="14">
        <f>804+199+362+214+243+317+101+0+681+652+804</f>
        <v>4377</v>
      </c>
      <c r="L25" s="14">
        <f>691+364+140+175+243+282+37+0+525+601+691</f>
        <v>3749</v>
      </c>
      <c r="M25" s="14">
        <f>188+140+313+178+278+239+477+0+638+614+188</f>
        <v>3253</v>
      </c>
      <c r="N25" s="15">
        <f>SUM(B25:M25)</f>
        <v>44067</v>
      </c>
    </row>
    <row r="26" spans="1:14" ht="15.75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30"/>
    </row>
    <row r="27" spans="1:15" ht="15.75">
      <c r="A27" s="31" t="s">
        <v>21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2"/>
    </row>
    <row r="28" spans="1:14" ht="15.75">
      <c r="A28" s="31" t="s">
        <v>22</v>
      </c>
      <c r="B28" s="32">
        <v>2149</v>
      </c>
      <c r="C28" s="33">
        <v>2220</v>
      </c>
      <c r="D28" s="33">
        <v>2025</v>
      </c>
      <c r="E28" s="33">
        <v>1995</v>
      </c>
      <c r="F28" s="33">
        <v>2575</v>
      </c>
      <c r="G28" s="33">
        <v>1890</v>
      </c>
      <c r="H28" s="33">
        <v>2425</v>
      </c>
      <c r="I28" s="33">
        <v>1069</v>
      </c>
      <c r="J28" s="33">
        <v>1887</v>
      </c>
      <c r="K28" s="33">
        <v>2557</v>
      </c>
      <c r="L28" s="33">
        <v>1854</v>
      </c>
      <c r="M28" s="33">
        <v>2908</v>
      </c>
      <c r="N28" s="34">
        <f>SUM(B28:M28)</f>
        <v>25554</v>
      </c>
    </row>
    <row r="29" spans="1:14" ht="15.75">
      <c r="A29" s="31" t="s">
        <v>23</v>
      </c>
      <c r="B29" s="32">
        <v>1098</v>
      </c>
      <c r="C29" s="33">
        <v>1223</v>
      </c>
      <c r="D29" s="33">
        <v>1175</v>
      </c>
      <c r="E29" s="33">
        <v>1290</v>
      </c>
      <c r="F29" s="33">
        <v>1394</v>
      </c>
      <c r="G29" s="33">
        <v>1103</v>
      </c>
      <c r="H29" s="33">
        <v>1349</v>
      </c>
      <c r="I29" s="33">
        <v>579</v>
      </c>
      <c r="J29" s="33">
        <v>1141</v>
      </c>
      <c r="K29" s="33">
        <v>1141</v>
      </c>
      <c r="L29" s="33">
        <v>986</v>
      </c>
      <c r="M29" s="33">
        <v>869</v>
      </c>
      <c r="N29" s="34">
        <f>SUM(B29:M29)</f>
        <v>13348</v>
      </c>
    </row>
    <row r="30" spans="1:14" ht="15.75">
      <c r="A30" s="55" t="s">
        <v>24</v>
      </c>
      <c r="B30" s="56">
        <f>3+0+1+0+0+0+1+0+2+1</f>
        <v>8</v>
      </c>
      <c r="C30" s="57">
        <f>4+2+0+2+1+3+1+1+4+4</f>
        <v>22</v>
      </c>
      <c r="D30" s="57">
        <v>20</v>
      </c>
      <c r="E30" s="57">
        <f>2+1+1+0+1+3+0+1+0+2</f>
        <v>11</v>
      </c>
      <c r="F30" s="57">
        <f>3+1+0+0+3+4+1+0+0+2</f>
        <v>14</v>
      </c>
      <c r="G30" s="57">
        <f>3+2+4+1+0+2+5+5+2+1</f>
        <v>25</v>
      </c>
      <c r="H30" s="57">
        <f>1+2+1+0+0+1+4+1+3+0</f>
        <v>13</v>
      </c>
      <c r="I30" s="57">
        <f>1+0+1+0+0+0+0+0+0+1</f>
        <v>3</v>
      </c>
      <c r="J30" s="57">
        <v>15</v>
      </c>
      <c r="K30" s="57">
        <f>2+1+2+0+1+0+0+3+3+2</f>
        <v>14</v>
      </c>
      <c r="L30" s="57">
        <f>3+1+0+1+2+0+0+5+3+3</f>
        <v>18</v>
      </c>
      <c r="M30" s="57">
        <v>20</v>
      </c>
      <c r="N30" s="58">
        <f>SUM(B30:M30)</f>
        <v>183</v>
      </c>
    </row>
    <row r="31" spans="1:14" ht="15.75">
      <c r="A31" s="59"/>
      <c r="B31" s="60">
        <f>SUM(B28:B30)</f>
        <v>3255</v>
      </c>
      <c r="C31" s="60">
        <f>SUM(C28:C30)</f>
        <v>3465</v>
      </c>
      <c r="D31" s="60">
        <f>SUM(D28:D30)</f>
        <v>3220</v>
      </c>
      <c r="E31" s="60">
        <f>SUM(E28:E30)</f>
        <v>3296</v>
      </c>
      <c r="F31" s="60">
        <f>SUM(F28:F30)</f>
        <v>3983</v>
      </c>
      <c r="G31" s="60">
        <f aca="true" t="shared" si="2" ref="G31:M31">SUM(G28:G30)</f>
        <v>3018</v>
      </c>
      <c r="H31" s="60">
        <f t="shared" si="2"/>
        <v>3787</v>
      </c>
      <c r="I31" s="60">
        <f t="shared" si="2"/>
        <v>1651</v>
      </c>
      <c r="J31" s="60">
        <f t="shared" si="2"/>
        <v>3043</v>
      </c>
      <c r="K31" s="60">
        <f t="shared" si="2"/>
        <v>3712</v>
      </c>
      <c r="L31" s="60">
        <f t="shared" si="2"/>
        <v>2858</v>
      </c>
      <c r="M31" s="60">
        <f t="shared" si="2"/>
        <v>3797</v>
      </c>
      <c r="N31" s="61">
        <f>SUM(B31:M31)</f>
        <v>39085</v>
      </c>
    </row>
    <row r="32" spans="1:14" ht="18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 t="s">
        <v>29</v>
      </c>
    </row>
    <row r="33" spans="1:14" ht="15.75">
      <c r="A33" s="35" t="s">
        <v>25</v>
      </c>
      <c r="B33" s="36">
        <v>2764</v>
      </c>
      <c r="C33" s="36">
        <f>415+233+165+210+175+295+226+241+404+415</f>
        <v>2779</v>
      </c>
      <c r="D33" s="36">
        <f>491+214+145+241+195+439+0+228+146+491</f>
        <v>2590</v>
      </c>
      <c r="E33" s="36">
        <f>633+211+173+214+192+260+0+202+0+633</f>
        <v>2518</v>
      </c>
      <c r="F33" s="36">
        <f>503+231+202+109+148+238+337+243+363+503</f>
        <v>2877</v>
      </c>
      <c r="G33" s="36">
        <v>2196</v>
      </c>
      <c r="H33" s="36">
        <f>346+274+185+80+0+134+273+331+738+346</f>
        <v>2707</v>
      </c>
      <c r="I33" s="36">
        <f>276+121+194+7+0+15+52+141+231+276</f>
        <v>1313</v>
      </c>
      <c r="J33" s="36">
        <f>196+168+191+121+126+230+0+430+569+196</f>
        <v>2227</v>
      </c>
      <c r="K33" s="36">
        <f>528+199+165+70+177+72+0+279+659+528</f>
        <v>2677</v>
      </c>
      <c r="L33" s="36">
        <v>2315</v>
      </c>
      <c r="M33" s="36">
        <v>2760</v>
      </c>
      <c r="N33" s="34">
        <f>SUM(B33:M33)</f>
        <v>29723</v>
      </c>
    </row>
    <row r="34" spans="1:14" ht="15.75">
      <c r="A34" s="35" t="s">
        <v>26</v>
      </c>
      <c r="B34" s="36">
        <v>245</v>
      </c>
      <c r="C34" s="36">
        <f>42+18+37+38+40+63+35+25+21+35+42</f>
        <v>396</v>
      </c>
      <c r="D34" s="36">
        <f>57+32+47+23+27+50+55+0+11+10+57</f>
        <v>369</v>
      </c>
      <c r="E34" s="36">
        <f>67+38+94+46+54+71+52+0+18+0+67</f>
        <v>507</v>
      </c>
      <c r="F34" s="36">
        <f>207+79+76+57+34+33+49+40+14+62+207</f>
        <v>858</v>
      </c>
      <c r="G34" s="36">
        <f>61+34+54+65+38+33+49+40+14+62+61</f>
        <v>511</v>
      </c>
      <c r="H34" s="36">
        <f>84+43+101+51+26+0+21+63+74+152+84</f>
        <v>699</v>
      </c>
      <c r="I34" s="36">
        <f>50+4+28+31+2+0+1+16+29+40+50</f>
        <v>251</v>
      </c>
      <c r="J34" s="36">
        <f>44+32+78+58+47+44+62+0+55+109+44</f>
        <v>573</v>
      </c>
      <c r="K34" s="36">
        <f>96+65+63+74+18+56+12+0+34+121+96</f>
        <v>635</v>
      </c>
      <c r="L34" s="36">
        <v>280</v>
      </c>
      <c r="M34" s="36">
        <v>239</v>
      </c>
      <c r="N34" s="34">
        <f>SUM(B34:M34)</f>
        <v>5563</v>
      </c>
    </row>
    <row r="35" spans="1:14" ht="15.75">
      <c r="A35" s="62" t="s">
        <v>27</v>
      </c>
      <c r="B35" s="63">
        <v>145</v>
      </c>
      <c r="C35" s="63">
        <f>31+20+5+6+5+4+7+5+7+18+31</f>
        <v>139</v>
      </c>
      <c r="D35" s="63">
        <f>29+45+3+4+21+3+11+0+17+16+29</f>
        <v>178</v>
      </c>
      <c r="E35" s="63">
        <f>35+8+10+7+8+8+10+0+7+0+35</f>
        <v>128</v>
      </c>
      <c r="F35" s="63">
        <f>2+6+11+3+6+7+13+9+12+13+2</f>
        <v>84</v>
      </c>
      <c r="G35" s="63">
        <v>265</v>
      </c>
      <c r="H35" s="63">
        <f>36+7+8+9+5+0+2+10+14+61+36</f>
        <v>188</v>
      </c>
      <c r="I35" s="63">
        <f>25+0+4+0+0+0+0+0+4+7+25</f>
        <v>65</v>
      </c>
      <c r="J35" s="63">
        <f>4+7+6+7+5+1+3+0+16+31+4</f>
        <v>84</v>
      </c>
      <c r="K35" s="63">
        <f>50+12+4+4+1+4+1+0+22+45+50</f>
        <v>193</v>
      </c>
      <c r="L35" s="63">
        <v>145</v>
      </c>
      <c r="M35" s="63">
        <v>136</v>
      </c>
      <c r="N35" s="58">
        <f>SUM(B35:M35)</f>
        <v>1750</v>
      </c>
    </row>
    <row r="36" spans="1:14" ht="12.75">
      <c r="A36" s="37" t="s">
        <v>30</v>
      </c>
      <c r="B36" s="64">
        <f>SUM(B33:B35)-B10</f>
        <v>-101</v>
      </c>
      <c r="C36" s="64">
        <f aca="true" t="shared" si="3" ref="C36:M36">SUM(C33:C35)-C10</f>
        <v>-151</v>
      </c>
      <c r="D36" s="64">
        <f t="shared" si="3"/>
        <v>-83</v>
      </c>
      <c r="E36" s="64">
        <f t="shared" si="3"/>
        <v>-143</v>
      </c>
      <c r="F36" s="64">
        <f t="shared" si="3"/>
        <v>-164</v>
      </c>
      <c r="G36" s="64">
        <f t="shared" si="3"/>
        <v>-46</v>
      </c>
      <c r="H36" s="64">
        <f t="shared" si="3"/>
        <v>-193</v>
      </c>
      <c r="I36" s="64">
        <f t="shared" si="3"/>
        <v>-22</v>
      </c>
      <c r="J36" s="64">
        <f t="shared" si="3"/>
        <v>-159</v>
      </c>
      <c r="K36" s="64">
        <f t="shared" si="3"/>
        <v>-207</v>
      </c>
      <c r="L36" s="64">
        <f t="shared" si="3"/>
        <v>-118</v>
      </c>
      <c r="M36" s="64">
        <f t="shared" si="3"/>
        <v>-662</v>
      </c>
      <c r="N36" s="37">
        <f>SUM(N33:N35)</f>
        <v>37036</v>
      </c>
    </row>
    <row r="37" spans="1:14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1:14" ht="12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4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 ht="37.5">
      <c r="A40" s="38" t="s">
        <v>31</v>
      </c>
      <c r="B40" s="39" t="s">
        <v>2</v>
      </c>
      <c r="C40" s="39" t="s">
        <v>3</v>
      </c>
      <c r="D40" s="39" t="s">
        <v>4</v>
      </c>
      <c r="E40" s="39" t="s">
        <v>5</v>
      </c>
      <c r="F40" s="39" t="s">
        <v>6</v>
      </c>
      <c r="G40" s="39" t="s">
        <v>7</v>
      </c>
      <c r="H40" s="39" t="s">
        <v>8</v>
      </c>
      <c r="I40" s="39" t="s">
        <v>9</v>
      </c>
      <c r="J40" s="39" t="s">
        <v>10</v>
      </c>
      <c r="K40" s="39" t="s">
        <v>11</v>
      </c>
      <c r="L40" s="39" t="s">
        <v>12</v>
      </c>
      <c r="M40" s="39" t="s">
        <v>13</v>
      </c>
      <c r="N40" s="40" t="s">
        <v>0</v>
      </c>
    </row>
    <row r="41" spans="1:14" ht="18.75">
      <c r="A41" s="41"/>
      <c r="B41" s="42">
        <v>391</v>
      </c>
      <c r="C41" s="42">
        <v>594</v>
      </c>
      <c r="D41" s="42">
        <v>1665</v>
      </c>
      <c r="E41" s="42">
        <v>2581</v>
      </c>
      <c r="F41" s="42">
        <v>9824</v>
      </c>
      <c r="G41" s="42">
        <v>2108</v>
      </c>
      <c r="H41" s="42">
        <v>5379</v>
      </c>
      <c r="I41" s="42">
        <v>8788</v>
      </c>
      <c r="J41" s="42">
        <v>1294</v>
      </c>
      <c r="K41" s="42">
        <v>745</v>
      </c>
      <c r="L41" s="42">
        <v>536</v>
      </c>
      <c r="M41" s="43">
        <v>1941</v>
      </c>
      <c r="N41" s="44">
        <f>SUM(B41:M41)</f>
        <v>35846</v>
      </c>
    </row>
    <row r="42" spans="1:14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1:14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 t="s">
        <v>1</v>
      </c>
      <c r="N43" s="11"/>
    </row>
    <row r="44" spans="1:14" ht="15.75">
      <c r="A44" s="45" t="s">
        <v>33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7"/>
    </row>
    <row r="45" spans="1:14" ht="15.75" customHeight="1">
      <c r="A45" s="48" t="s">
        <v>22</v>
      </c>
      <c r="B45" s="49">
        <v>225</v>
      </c>
      <c r="C45" s="49">
        <v>348</v>
      </c>
      <c r="D45" s="49">
        <v>1125</v>
      </c>
      <c r="E45" s="49">
        <v>1763</v>
      </c>
      <c r="F45" s="49">
        <v>5879</v>
      </c>
      <c r="G45" s="49">
        <v>1146</v>
      </c>
      <c r="H45" s="49">
        <v>3682</v>
      </c>
      <c r="I45" s="49">
        <v>5995</v>
      </c>
      <c r="J45" s="49">
        <v>905</v>
      </c>
      <c r="K45" s="49">
        <v>467</v>
      </c>
      <c r="L45" s="49">
        <v>338</v>
      </c>
      <c r="M45" s="49">
        <v>562</v>
      </c>
      <c r="N45" s="50">
        <f>SUM(B45:M45)</f>
        <v>22435</v>
      </c>
    </row>
    <row r="46" spans="1:14" ht="15.75">
      <c r="A46" s="45" t="s">
        <v>23</v>
      </c>
      <c r="B46" s="49">
        <v>62</v>
      </c>
      <c r="C46" s="49">
        <v>241</v>
      </c>
      <c r="D46" s="49">
        <v>531</v>
      </c>
      <c r="E46" s="49">
        <v>808</v>
      </c>
      <c r="F46" s="49">
        <v>3900</v>
      </c>
      <c r="G46" s="49">
        <v>653</v>
      </c>
      <c r="H46" s="49">
        <v>1681</v>
      </c>
      <c r="I46" s="49">
        <v>4442</v>
      </c>
      <c r="J46" s="49">
        <v>379</v>
      </c>
      <c r="K46" s="49">
        <v>257</v>
      </c>
      <c r="L46" s="49">
        <v>198</v>
      </c>
      <c r="M46" s="49">
        <v>282</v>
      </c>
      <c r="N46" s="50">
        <f>SUM(B46:M46)</f>
        <v>13434</v>
      </c>
    </row>
    <row r="47" spans="1:29" ht="13.5" customHeight="1">
      <c r="A47" s="45" t="s">
        <v>24</v>
      </c>
      <c r="B47" s="49">
        <v>4</v>
      </c>
      <c r="C47" s="49">
        <v>5</v>
      </c>
      <c r="D47" s="49">
        <v>9</v>
      </c>
      <c r="E47" s="49">
        <v>10</v>
      </c>
      <c r="F47" s="49">
        <v>65</v>
      </c>
      <c r="G47" s="49">
        <v>9</v>
      </c>
      <c r="H47" s="49">
        <v>16</v>
      </c>
      <c r="I47" s="49">
        <v>32</v>
      </c>
      <c r="J47" s="49">
        <v>9</v>
      </c>
      <c r="K47" s="49">
        <v>3</v>
      </c>
      <c r="L47" s="49">
        <v>0</v>
      </c>
      <c r="M47" s="49">
        <v>1</v>
      </c>
      <c r="N47" s="50">
        <f>SUM(B47:M47)</f>
        <v>163</v>
      </c>
      <c r="U47" s="3"/>
      <c r="V47" s="3"/>
      <c r="W47" s="3"/>
      <c r="X47" s="3"/>
      <c r="Y47" s="3"/>
      <c r="Z47" s="3"/>
      <c r="AA47" s="3"/>
      <c r="AB47" s="3"/>
      <c r="AC47" s="4"/>
    </row>
    <row r="48" spans="1:29" ht="14.2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U48" s="5"/>
      <c r="V48" s="5"/>
      <c r="W48" s="5"/>
      <c r="X48" s="5"/>
      <c r="Y48" s="5"/>
      <c r="Z48" s="5"/>
      <c r="AA48" s="5"/>
      <c r="AB48" s="5"/>
      <c r="AC48" s="5"/>
    </row>
    <row r="50" ht="12.75">
      <c r="A50" s="1" t="s">
        <v>32</v>
      </c>
    </row>
    <row r="51" ht="12.75">
      <c r="F51" s="6"/>
    </row>
    <row r="80" ht="13.5" customHeight="1"/>
    <row r="95" ht="13.5" customHeight="1"/>
    <row r="110" ht="13.5" customHeight="1"/>
    <row r="125" ht="12" customHeight="1"/>
    <row r="140" ht="12" customHeight="1"/>
    <row r="155" ht="13.5" customHeight="1"/>
    <row r="170" ht="15" customHeight="1"/>
    <row r="185" ht="15" customHeight="1"/>
    <row r="194" ht="41.25" customHeight="1"/>
    <row r="216" ht="14.25" customHeight="1"/>
  </sheetData>
  <sheetProtection selectLockedCells="1" selectUnlockedCells="1"/>
  <printOptions/>
  <pageMargins left="0.1968503937007874" right="0.1968503937007874" top="1.1811023622047245" bottom="0.984251968503937" header="0.5118110236220472" footer="0.5118110236220472"/>
  <pageSetup horizontalDpi="600" verticalDpi="600" orientation="landscape" paperSize="9" r:id="rId1"/>
  <headerFooter alignWithMargins="0">
    <oddHeader>&amp;C&amp;"Times New Roman,Normale"&amp;16Controlli sulla velocità anno 2012 - 2021</oddHeader>
    <oddFooter>&amp;Relaborazione a cura del Servizio Affari Generali Polizia Municipale  - su dati settore autovelox 
</oddFoot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</dc:creator>
  <cp:keywords/>
  <dc:description/>
  <cp:lastModifiedBy>Antonio Muscarà</cp:lastModifiedBy>
  <cp:lastPrinted>2022-01-28T08:27:08Z</cp:lastPrinted>
  <dcterms:created xsi:type="dcterms:W3CDTF">2020-05-03T16:35:00Z</dcterms:created>
  <dcterms:modified xsi:type="dcterms:W3CDTF">2022-06-10T11:33:26Z</dcterms:modified>
  <cp:category/>
  <cp:version/>
  <cp:contentType/>
  <cp:contentStatus/>
</cp:coreProperties>
</file>